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C:\Users\Admin\Documents\dah-cass\CT5b\"/>
    </mc:Choice>
  </mc:AlternateContent>
  <xr:revisionPtr revIDLastSave="0" documentId="13_ncr:1_{097B7A65-D6F1-431D-9FA2-A4BDABE002DC}" xr6:coauthVersionLast="41" xr6:coauthVersionMax="41" xr10:uidLastSave="{00000000-0000-0000-0000-000000000000}"/>
  <bookViews>
    <workbookView xWindow="9090" yWindow="3285" windowWidth="21210" windowHeight="10515" activeTab="1" xr2:uid="{00000000-000D-0000-FFFF-FFFF00000000}"/>
  </bookViews>
  <sheets>
    <sheet name="Q14" sheetId="1" r:id="rId1"/>
    <sheet name="Q13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6" i="3" l="1"/>
  <c r="L7" i="3"/>
  <c r="R6" i="3"/>
  <c r="R8" i="3"/>
  <c r="R9" i="3"/>
  <c r="R10" i="3"/>
  <c r="Q7" i="3"/>
  <c r="Q8" i="3"/>
  <c r="Q9" i="3"/>
  <c r="Q10" i="3"/>
  <c r="Q6" i="3"/>
  <c r="N7" i="3"/>
  <c r="N8" i="3"/>
  <c r="N9" i="3"/>
  <c r="N10" i="3"/>
  <c r="N6" i="3"/>
  <c r="O7" i="3"/>
  <c r="O8" i="3"/>
  <c r="O9" i="3"/>
  <c r="O10" i="3"/>
  <c r="O6" i="3"/>
  <c r="L10" i="3"/>
  <c r="L9" i="3"/>
  <c r="D45" i="1"/>
  <c r="E45" i="1"/>
  <c r="C45" i="1"/>
  <c r="C36" i="1"/>
  <c r="C38" i="1"/>
  <c r="C47" i="1"/>
  <c r="C48" i="1" s="1"/>
  <c r="C43" i="1"/>
  <c r="C42" i="1"/>
  <c r="D42" i="1"/>
  <c r="E42" i="1"/>
  <c r="K4" i="2" l="1"/>
  <c r="F3" i="2"/>
  <c r="G3" i="2"/>
  <c r="F4" i="2"/>
  <c r="G4" i="2"/>
  <c r="J4" i="2" s="1"/>
  <c r="F5" i="2"/>
  <c r="G5" i="2"/>
  <c r="E4" i="2"/>
  <c r="H4" i="2" s="1"/>
  <c r="E5" i="2"/>
  <c r="E3" i="2"/>
  <c r="K3" i="2" s="1"/>
  <c r="H20" i="1"/>
  <c r="E39" i="1"/>
  <c r="E31" i="1"/>
  <c r="D39" i="1"/>
  <c r="C39" i="1"/>
  <c r="D31" i="1"/>
  <c r="C31" i="1"/>
  <c r="D29" i="1"/>
  <c r="D32" i="1" s="1"/>
  <c r="D30" i="1"/>
  <c r="E21" i="1"/>
  <c r="E22" i="1" s="1"/>
  <c r="E30" i="1" s="1"/>
  <c r="D21" i="1"/>
  <c r="D22" i="1"/>
  <c r="C21" i="1"/>
  <c r="E9" i="1"/>
  <c r="E10" i="1"/>
  <c r="F10" i="1" s="1"/>
  <c r="E8" i="1"/>
  <c r="J5" i="2" l="1"/>
  <c r="L5" i="2"/>
  <c r="L4" i="2"/>
  <c r="H3" i="2"/>
  <c r="J3" i="2"/>
  <c r="I3" i="2"/>
  <c r="C29" i="1"/>
  <c r="C22" i="1"/>
  <c r="C30" i="1" s="1"/>
  <c r="F8" i="1"/>
  <c r="G8" i="1" s="1"/>
  <c r="F9" i="1"/>
  <c r="D35" i="1" s="1"/>
  <c r="C35" i="1"/>
  <c r="E35" i="1"/>
  <c r="K5" i="2"/>
  <c r="I5" i="2" s="1"/>
  <c r="I4" i="2"/>
  <c r="E29" i="1"/>
  <c r="E32" i="1" s="1"/>
  <c r="G10" i="1"/>
  <c r="H9" i="1" l="1"/>
  <c r="G9" i="1"/>
  <c r="H10" i="1" s="1"/>
  <c r="C32" i="1"/>
  <c r="H5" i="2"/>
  <c r="C23" i="1"/>
  <c r="C24" i="1" s="1"/>
  <c r="C33" i="1" s="1"/>
  <c r="E37" i="1" l="1"/>
  <c r="H22" i="1"/>
  <c r="C25" i="1"/>
  <c r="H21" i="1"/>
  <c r="H24" i="1" s="1"/>
  <c r="D37" i="1"/>
  <c r="D20" i="1" l="1"/>
  <c r="C34" i="1"/>
  <c r="C40" i="1" l="1"/>
  <c r="I20" i="1" s="1"/>
  <c r="D23" i="1"/>
  <c r="D24" i="1" s="1"/>
  <c r="D33" i="1" l="1"/>
  <c r="D25" i="1"/>
  <c r="E20" i="1" l="1"/>
  <c r="D34" i="1"/>
  <c r="D36" i="1"/>
  <c r="D38" i="1" s="1"/>
  <c r="D40" i="1" l="1"/>
  <c r="I21" i="1" s="1"/>
  <c r="E23" i="1"/>
  <c r="E24" i="1" s="1"/>
  <c r="E33" i="1" s="1"/>
  <c r="E25" i="1" l="1"/>
  <c r="E34" i="1" s="1"/>
  <c r="E36" i="1" s="1"/>
  <c r="E38" i="1" s="1"/>
  <c r="E40" i="1" l="1"/>
  <c r="I22" i="1" s="1"/>
  <c r="I24" i="1" s="1"/>
  <c r="I26" i="1" s="1"/>
</calcChain>
</file>

<file path=xl/sharedStrings.xml><?xml version="1.0" encoding="utf-8"?>
<sst xmlns="http://schemas.openxmlformats.org/spreadsheetml/2006/main" count="75" uniqueCount="61">
  <si>
    <t>x</t>
  </si>
  <si>
    <t>q_x^d</t>
  </si>
  <si>
    <t>q_x^s</t>
  </si>
  <si>
    <t>Unit Fund</t>
  </si>
  <si>
    <t>Value of units at start of year</t>
  </si>
  <si>
    <t>Allocation</t>
  </si>
  <si>
    <t>B/O spread</t>
  </si>
  <si>
    <t>interest</t>
  </si>
  <si>
    <t>management charge</t>
  </si>
  <si>
    <t>value of units at year end</t>
  </si>
  <si>
    <t>year</t>
  </si>
  <si>
    <t>premium</t>
  </si>
  <si>
    <t>alloc</t>
  </si>
  <si>
    <t>unit growth</t>
  </si>
  <si>
    <t>non-unit growth</t>
  </si>
  <si>
    <t>init exp</t>
  </si>
  <si>
    <t>renewal exp</t>
  </si>
  <si>
    <t>initioal comision</t>
  </si>
  <si>
    <t>renewal comm</t>
  </si>
  <si>
    <t>claim exp</t>
  </si>
  <si>
    <t>discount rate</t>
  </si>
  <si>
    <t>AMC</t>
  </si>
  <si>
    <t>Sterling fund</t>
  </si>
  <si>
    <t>unallocated premium</t>
  </si>
  <si>
    <t>expenses</t>
  </si>
  <si>
    <t>man charge</t>
  </si>
  <si>
    <t>claim expense</t>
  </si>
  <si>
    <t>profit vector</t>
  </si>
  <si>
    <t>prob in force</t>
  </si>
  <si>
    <t>profit signature</t>
  </si>
  <si>
    <t>discount factor</t>
  </si>
  <si>
    <t>PVFNP</t>
  </si>
  <si>
    <t>SA</t>
  </si>
  <si>
    <t>extra death benefit</t>
  </si>
  <si>
    <t>premium value</t>
  </si>
  <si>
    <t>profit PV</t>
  </si>
  <si>
    <t>profit margin</t>
  </si>
  <si>
    <t>PVFP</t>
  </si>
  <si>
    <t>d</t>
  </si>
  <si>
    <t>w</t>
  </si>
  <si>
    <t>i</t>
  </si>
  <si>
    <t>aq d</t>
  </si>
  <si>
    <t>aq w</t>
  </si>
  <si>
    <t>aq i</t>
  </si>
  <si>
    <t>ap</t>
  </si>
  <si>
    <t>t-1 ap</t>
  </si>
  <si>
    <t>mu d</t>
  </si>
  <si>
    <t>mu w</t>
  </si>
  <si>
    <t>mu i</t>
  </si>
  <si>
    <t>zeroise CF (1)</t>
  </si>
  <si>
    <t>zeroise CF (2)</t>
  </si>
  <si>
    <t>zeroised signature</t>
  </si>
  <si>
    <t>age</t>
  </si>
  <si>
    <t>fees</t>
  </si>
  <si>
    <t>reserve</t>
  </si>
  <si>
    <t>death benefit</t>
  </si>
  <si>
    <t>CF</t>
  </si>
  <si>
    <t>in force prob</t>
  </si>
  <si>
    <t>-</t>
  </si>
  <si>
    <t>adjusted cashflow</t>
  </si>
  <si>
    <t>zeroised profit signature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</si>
</sst>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00_-;\-* #,##0.00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FFF4DD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4DD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">
    <xf numFmtId="0" fontId="0" fillId="0" borderId="0" xfId="0"/>
    <xf numFmtId="9" fontId="0" fillId="0" borderId="0" xfId="0" applyNumberFormat="1"/>
    <xf numFmtId="10" fontId="0" fillId="0" borderId="0" xfId="0" applyNumberFormat="1"/>
    <xf numFmtId="43" fontId="0" fillId="0" borderId="0" xfId="1" applyFont="1"/>
    <xf numFmtId="164" fontId="0" fillId="0" borderId="0" xfId="1" applyNumberFormat="1" applyFont="1"/>
    <xf numFmtId="43" fontId="0" fillId="0" borderId="0" xfId="0" applyNumberFormat="1"/>
    <xf numFmtId="10" fontId="0" fillId="0" borderId="0" xfId="2" applyNumberFormat="1" applyFont="1"/>
    <xf numFmtId="0" fontId="2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3" borderId="0" xfId="0" quotePrefix="1" applyFont="1" applyFill="1" applyAlignment="1">
      <alignment horizontal="center" vertical="center" wrapText="1"/>
    </xf>
    <xf numFmtId="43" fontId="3" fillId="2" borderId="0" xfId="1" applyFont="1" applyFill="1" applyAlignment="1">
      <alignment horizontal="center" vertical="center" wrapText="1"/>
    </xf>
    <xf numFmtId="43" fontId="3" fillId="4" borderId="0" xfId="1" applyFont="1" applyFill="1" applyAlignment="1">
      <alignment horizontal="center" vertic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48"/>
  <sheetViews>
    <sheetView workbookViewId="0">
      <selection activeCell="G50" sqref="G50"/>
    </sheetView>
  </sheetViews>
  <sheetFormatPr defaultRowHeight="15" x14ac:dyDescent="0.25"/>
  <cols>
    <col min="2" max="2" width="27" bestFit="1" customWidth="1"/>
    <col min="4" max="4" width="11.140625" bestFit="1" customWidth="1"/>
    <col min="8" max="8" width="14.5703125" bestFit="1" customWidth="1"/>
    <col min="10" max="10" width="15.85546875" bestFit="1" customWidth="1"/>
  </cols>
  <sheetData>
    <row r="2" spans="4:11" x14ac:dyDescent="0.25">
      <c r="D2" t="s">
        <v>0</v>
      </c>
      <c r="E2" t="s">
        <v>1</v>
      </c>
      <c r="F2" t="s">
        <v>2</v>
      </c>
      <c r="J2" t="s">
        <v>13</v>
      </c>
      <c r="K2" s="2">
        <v>4.4999999999999998E-2</v>
      </c>
    </row>
    <row r="3" spans="4:11" x14ac:dyDescent="0.25">
      <c r="D3">
        <v>61</v>
      </c>
      <c r="E3">
        <v>9.0089999999999996E-3</v>
      </c>
      <c r="F3">
        <v>7.4999999999999997E-2</v>
      </c>
      <c r="J3" t="s">
        <v>14</v>
      </c>
      <c r="K3" s="2">
        <v>2.5000000000000001E-2</v>
      </c>
    </row>
    <row r="4" spans="4:11" x14ac:dyDescent="0.25">
      <c r="D4">
        <v>62</v>
      </c>
      <c r="E4">
        <v>1.0111999999999999E-2</v>
      </c>
      <c r="F4">
        <v>2.5000000000000001E-2</v>
      </c>
      <c r="J4" t="s">
        <v>15</v>
      </c>
      <c r="K4">
        <v>200</v>
      </c>
    </row>
    <row r="5" spans="4:11" x14ac:dyDescent="0.25">
      <c r="D5">
        <v>63</v>
      </c>
      <c r="E5">
        <v>1.1344E-2</v>
      </c>
      <c r="F5">
        <v>0</v>
      </c>
      <c r="J5" t="s">
        <v>16</v>
      </c>
      <c r="K5">
        <v>55</v>
      </c>
    </row>
    <row r="6" spans="4:11" x14ac:dyDescent="0.25">
      <c r="J6" t="s">
        <v>17</v>
      </c>
      <c r="K6" s="1">
        <v>0.05</v>
      </c>
    </row>
    <row r="7" spans="4:11" x14ac:dyDescent="0.25">
      <c r="D7" t="s">
        <v>0</v>
      </c>
      <c r="J7" t="s">
        <v>18</v>
      </c>
      <c r="K7" s="2">
        <v>2.5000000000000001E-2</v>
      </c>
    </row>
    <row r="8" spans="4:11" x14ac:dyDescent="0.25">
      <c r="D8">
        <v>61</v>
      </c>
      <c r="E8">
        <f>0.9*E3</f>
        <v>8.1081E-3</v>
      </c>
      <c r="F8">
        <f>F3*(1-E8)</f>
        <v>7.4391892500000001E-2</v>
      </c>
      <c r="G8">
        <f>(1-E8-F8)</f>
        <v>0.91750000750000005</v>
      </c>
      <c r="H8">
        <v>1</v>
      </c>
      <c r="J8" t="s">
        <v>19</v>
      </c>
      <c r="K8">
        <v>75</v>
      </c>
    </row>
    <row r="9" spans="4:11" x14ac:dyDescent="0.25">
      <c r="D9">
        <v>62</v>
      </c>
      <c r="E9">
        <f t="shared" ref="E9:E10" si="0">0.9*E4</f>
        <v>9.1007999999999992E-3</v>
      </c>
      <c r="F9">
        <f t="shared" ref="F9:F10" si="1">F4*(1-E9)</f>
        <v>2.477248E-2</v>
      </c>
      <c r="G9">
        <f t="shared" ref="G9:G10" si="2">(1-E9-F9)</f>
        <v>0.96612671999999999</v>
      </c>
      <c r="H9">
        <f>G8</f>
        <v>0.91750000750000005</v>
      </c>
      <c r="J9" t="s">
        <v>20</v>
      </c>
      <c r="K9" s="2">
        <v>6.5000000000000002E-2</v>
      </c>
    </row>
    <row r="10" spans="4:11" x14ac:dyDescent="0.25">
      <c r="D10">
        <v>63</v>
      </c>
      <c r="E10">
        <f t="shared" si="0"/>
        <v>1.0209600000000001E-2</v>
      </c>
      <c r="F10">
        <f t="shared" si="1"/>
        <v>0</v>
      </c>
      <c r="G10">
        <f t="shared" si="2"/>
        <v>0.98979039999999996</v>
      </c>
      <c r="H10">
        <f>G8*G9</f>
        <v>0.8864212728459504</v>
      </c>
      <c r="J10" t="s">
        <v>6</v>
      </c>
      <c r="K10" s="1">
        <v>0.06</v>
      </c>
    </row>
    <row r="11" spans="4:11" x14ac:dyDescent="0.25">
      <c r="J11" t="s">
        <v>21</v>
      </c>
      <c r="K11" s="1">
        <v>0.01</v>
      </c>
    </row>
    <row r="12" spans="4:11" x14ac:dyDescent="0.25">
      <c r="D12" t="s">
        <v>10</v>
      </c>
      <c r="E12" t="s">
        <v>11</v>
      </c>
      <c r="F12" t="s">
        <v>12</v>
      </c>
      <c r="J12" t="s">
        <v>32</v>
      </c>
      <c r="K12">
        <v>6750</v>
      </c>
    </row>
    <row r="13" spans="4:11" x14ac:dyDescent="0.25">
      <c r="D13">
        <v>1</v>
      </c>
      <c r="E13">
        <v>1500</v>
      </c>
      <c r="F13" s="1">
        <v>0.5</v>
      </c>
    </row>
    <row r="14" spans="4:11" x14ac:dyDescent="0.25">
      <c r="D14">
        <v>2</v>
      </c>
      <c r="E14">
        <v>2250</v>
      </c>
      <c r="F14" s="1">
        <v>1.05</v>
      </c>
    </row>
    <row r="15" spans="4:11" x14ac:dyDescent="0.25">
      <c r="D15">
        <v>3</v>
      </c>
      <c r="E15">
        <v>3000</v>
      </c>
      <c r="F15" s="1">
        <v>1.1499999999999999</v>
      </c>
    </row>
    <row r="18" spans="2:10" x14ac:dyDescent="0.25">
      <c r="B18" t="s">
        <v>3</v>
      </c>
      <c r="H18" t="s">
        <v>34</v>
      </c>
      <c r="I18" t="s">
        <v>35</v>
      </c>
    </row>
    <row r="20" spans="2:10" x14ac:dyDescent="0.25">
      <c r="B20" t="s">
        <v>4</v>
      </c>
      <c r="C20">
        <v>0</v>
      </c>
      <c r="D20">
        <f>C25</f>
        <v>729.35775000000001</v>
      </c>
      <c r="E20">
        <f>D25</f>
        <v>3052.0339727625001</v>
      </c>
      <c r="H20" s="3">
        <f>E13</f>
        <v>1500</v>
      </c>
      <c r="I20" s="5">
        <f>C40</f>
        <v>455.74063956363852</v>
      </c>
    </row>
    <row r="21" spans="2:10" x14ac:dyDescent="0.25">
      <c r="B21" t="s">
        <v>5</v>
      </c>
      <c r="C21">
        <f>E13*F13</f>
        <v>750</v>
      </c>
      <c r="D21">
        <f>E14*F14</f>
        <v>2362.5</v>
      </c>
      <c r="E21">
        <f>E15*F15</f>
        <v>3449.9999999999995</v>
      </c>
      <c r="H21" s="3">
        <f>E14/(1+K9)*H9</f>
        <v>1938.3802975352116</v>
      </c>
      <c r="I21" s="5">
        <f>D40</f>
        <v>-72.330863423983644</v>
      </c>
    </row>
    <row r="22" spans="2:10" x14ac:dyDescent="0.25">
      <c r="B22" t="s">
        <v>6</v>
      </c>
      <c r="C22">
        <f>C21*$K$10</f>
        <v>45</v>
      </c>
      <c r="D22">
        <f>D21*$K$10</f>
        <v>141.75</v>
      </c>
      <c r="E22">
        <f>E21*$K$10</f>
        <v>206.99999999999997</v>
      </c>
      <c r="H22" s="3">
        <f>E15/(1+K9)^2*H10</f>
        <v>2344.5646309487552</v>
      </c>
      <c r="I22" s="5">
        <f>E40</f>
        <v>-234.62679463447043</v>
      </c>
    </row>
    <row r="23" spans="2:10" x14ac:dyDescent="0.25">
      <c r="B23" t="s">
        <v>7</v>
      </c>
      <c r="C23">
        <f>(C20+C21-C22)*$K$2</f>
        <v>31.724999999999998</v>
      </c>
      <c r="D23">
        <f>(D20+D21-D22)*$K$2</f>
        <v>132.75484875000001</v>
      </c>
      <c r="E23">
        <f>(E20+E21-E22)*$K$2</f>
        <v>283.27652877431245</v>
      </c>
    </row>
    <row r="24" spans="2:10" x14ac:dyDescent="0.25">
      <c r="B24" t="s">
        <v>8</v>
      </c>
      <c r="C24">
        <f>(C20+C21-C22+C23)*$K$11</f>
        <v>7.3672500000000003</v>
      </c>
      <c r="D24">
        <f>(D20+D21-D22+D23)*$K$11</f>
        <v>30.828625987500001</v>
      </c>
      <c r="E24">
        <f>(E20+E21-E22+E23)*$K$11</f>
        <v>65.783105015368122</v>
      </c>
      <c r="H24" s="3">
        <f>SUM(H20:H22)</f>
        <v>5782.9449284839666</v>
      </c>
      <c r="I24">
        <f>SUM(I20:I22)</f>
        <v>148.78298150518444</v>
      </c>
    </row>
    <row r="25" spans="2:10" x14ac:dyDescent="0.25">
      <c r="B25" t="s">
        <v>9</v>
      </c>
      <c r="C25">
        <f>C20+C21-C22+C23-C24</f>
        <v>729.35775000000001</v>
      </c>
      <c r="D25">
        <f>D20+D21-D22+D23-D24</f>
        <v>3052.0339727625001</v>
      </c>
      <c r="E25">
        <f>E20+E21-E22+E23-E24</f>
        <v>6512.5273965214437</v>
      </c>
    </row>
    <row r="26" spans="2:10" x14ac:dyDescent="0.25">
      <c r="H26" t="s">
        <v>36</v>
      </c>
      <c r="I26" s="6">
        <f>I24/H24</f>
        <v>2.572789181725595E-2</v>
      </c>
    </row>
    <row r="27" spans="2:10" x14ac:dyDescent="0.25">
      <c r="B27" t="s">
        <v>22</v>
      </c>
    </row>
    <row r="29" spans="2:10" x14ac:dyDescent="0.25">
      <c r="B29" t="s">
        <v>23</v>
      </c>
      <c r="C29" s="3">
        <f>E13-C21</f>
        <v>750</v>
      </c>
      <c r="D29" s="3">
        <f>E14-D21</f>
        <v>-112.5</v>
      </c>
      <c r="E29" s="3">
        <f>E15-E21</f>
        <v>-449.99999999999955</v>
      </c>
    </row>
    <row r="30" spans="2:10" x14ac:dyDescent="0.25">
      <c r="B30" t="s">
        <v>6</v>
      </c>
      <c r="C30" s="3">
        <f>C22</f>
        <v>45</v>
      </c>
      <c r="D30" s="3">
        <f>D22</f>
        <v>141.75</v>
      </c>
      <c r="E30" s="3">
        <f>E22</f>
        <v>206.99999999999997</v>
      </c>
    </row>
    <row r="31" spans="2:10" x14ac:dyDescent="0.25">
      <c r="B31" t="s">
        <v>24</v>
      </c>
      <c r="C31" s="3">
        <f>$K$4+$K$6*E13</f>
        <v>275</v>
      </c>
      <c r="D31" s="3">
        <f>$K$5+$K$7*E14</f>
        <v>111.25</v>
      </c>
      <c r="E31" s="3">
        <f>$K$5+$K$7*E15</f>
        <v>130</v>
      </c>
      <c r="H31" s="5"/>
      <c r="I31" s="5"/>
      <c r="J31" s="5"/>
    </row>
    <row r="32" spans="2:10" x14ac:dyDescent="0.25">
      <c r="B32" t="s">
        <v>7</v>
      </c>
      <c r="C32" s="3">
        <f>$K$3*(C29+C30-C31)</f>
        <v>13</v>
      </c>
      <c r="D32" s="3">
        <f>$K$3*(D29+D30-D31)</f>
        <v>-2.0500000000000003</v>
      </c>
      <c r="E32" s="3">
        <f>$K$3*(E29+E30-E31)</f>
        <v>-9.3249999999999886</v>
      </c>
      <c r="H32" s="5"/>
      <c r="I32" s="5"/>
    </row>
    <row r="33" spans="2:9" x14ac:dyDescent="0.25">
      <c r="B33" t="s">
        <v>25</v>
      </c>
      <c r="C33" s="3">
        <f>C24</f>
        <v>7.3672500000000003</v>
      </c>
      <c r="D33" s="3">
        <f>D24</f>
        <v>30.828625987500001</v>
      </c>
      <c r="E33" s="3">
        <f>E24</f>
        <v>65.783105015368122</v>
      </c>
      <c r="H33" s="5"/>
    </row>
    <row r="34" spans="2:9" x14ac:dyDescent="0.25">
      <c r="B34" t="s">
        <v>33</v>
      </c>
      <c r="C34" s="3">
        <f>(K12-C25)*E8</f>
        <v>48.815969427224999</v>
      </c>
      <c r="D34" s="3">
        <f>(K12-D25)*E9</f>
        <v>33.654449220683034</v>
      </c>
      <c r="E34" s="3">
        <f>(K12-E25)*E10</f>
        <v>2.4245002924746681</v>
      </c>
    </row>
    <row r="35" spans="2:9" x14ac:dyDescent="0.25">
      <c r="B35" t="s">
        <v>26</v>
      </c>
      <c r="C35" s="3">
        <f>K8*(E8+F8)</f>
        <v>6.1874994375000005</v>
      </c>
      <c r="D35" s="3">
        <f>K8*(E9+F9)</f>
        <v>2.5404960000000001</v>
      </c>
      <c r="E35" s="3">
        <f>K8*(E10+F10)</f>
        <v>0.76572000000000007</v>
      </c>
    </row>
    <row r="36" spans="2:9" x14ac:dyDescent="0.25">
      <c r="B36" t="s">
        <v>27</v>
      </c>
      <c r="C36" s="3">
        <f>C29+C30-C31+C32+C33-C34-C35</f>
        <v>485.36378113527502</v>
      </c>
      <c r="D36" s="3">
        <f>D29+D30-D31+D32+D33-D34-D35</f>
        <v>-89.416319233183032</v>
      </c>
      <c r="E36" s="3">
        <f>E29+E30-E31+E32+E33-E34-E35</f>
        <v>-319.73211527710606</v>
      </c>
      <c r="I36" s="6"/>
    </row>
    <row r="37" spans="2:9" x14ac:dyDescent="0.25">
      <c r="B37" t="s">
        <v>28</v>
      </c>
      <c r="C37" s="4">
        <v>1</v>
      </c>
      <c r="D37" s="4">
        <f>H9</f>
        <v>0.91750000750000005</v>
      </c>
      <c r="E37" s="4">
        <f>H10</f>
        <v>0.8864212728459504</v>
      </c>
    </row>
    <row r="38" spans="2:9" x14ac:dyDescent="0.25">
      <c r="B38" t="s">
        <v>29</v>
      </c>
      <c r="C38" s="3">
        <f>C36*C37</f>
        <v>485.36378113527502</v>
      </c>
      <c r="D38" s="3">
        <f>D36*D37</f>
        <v>-82.03947356706783</v>
      </c>
      <c r="E38" s="3">
        <f>E36*E37</f>
        <v>-283.41734859366051</v>
      </c>
    </row>
    <row r="39" spans="2:9" x14ac:dyDescent="0.25">
      <c r="B39" t="s">
        <v>30</v>
      </c>
      <c r="C39" s="4">
        <f>1/(1+$K$9)</f>
        <v>0.93896713615023475</v>
      </c>
      <c r="D39" s="4">
        <f>1/(1+$K$9)^2</f>
        <v>0.88165928277017358</v>
      </c>
      <c r="E39" s="4">
        <f>1/(1+$K$9)^3</f>
        <v>0.82784909180297994</v>
      </c>
    </row>
    <row r="40" spans="2:9" x14ac:dyDescent="0.25">
      <c r="B40" t="s">
        <v>31</v>
      </c>
      <c r="C40" s="3">
        <f>C38*C39</f>
        <v>455.74063956363852</v>
      </c>
      <c r="D40" s="3">
        <f>D38*D39</f>
        <v>-72.330863423983644</v>
      </c>
      <c r="E40" s="3">
        <f>E38*E39</f>
        <v>-234.62679463447043</v>
      </c>
    </row>
    <row r="42" spans="2:9" x14ac:dyDescent="0.25">
      <c r="B42" t="s">
        <v>49</v>
      </c>
      <c r="C42" s="5">
        <f>C36</f>
        <v>485.36378113527502</v>
      </c>
      <c r="D42" s="5">
        <f>D36+E36/(1+K3)*E37/D37</f>
        <v>-390.78387026862924</v>
      </c>
      <c r="E42">
        <f>0</f>
        <v>0</v>
      </c>
    </row>
    <row r="43" spans="2:9" x14ac:dyDescent="0.25">
      <c r="B43" t="s">
        <v>50</v>
      </c>
      <c r="C43" s="5">
        <f>C42+D42/(1+K3)*D37/C37</f>
        <v>135.56455781591268</v>
      </c>
      <c r="D43">
        <v>0</v>
      </c>
      <c r="E43">
        <v>0</v>
      </c>
    </row>
    <row r="45" spans="2:9" x14ac:dyDescent="0.25">
      <c r="B45" t="s">
        <v>51</v>
      </c>
      <c r="C45">
        <f>C43*C37</f>
        <v>135.56455781591268</v>
      </c>
      <c r="D45">
        <f t="shared" ref="D45:E45" si="3">D43*D37</f>
        <v>0</v>
      </c>
      <c r="E45">
        <f t="shared" si="3"/>
        <v>0</v>
      </c>
    </row>
    <row r="47" spans="2:9" x14ac:dyDescent="0.25">
      <c r="B47" t="s">
        <v>37</v>
      </c>
      <c r="C47" s="5">
        <f>C43/(1+K9)*C37</f>
        <v>127.29066461588046</v>
      </c>
    </row>
    <row r="48" spans="2:9" x14ac:dyDescent="0.25">
      <c r="B48" t="s">
        <v>36</v>
      </c>
      <c r="C48" s="6">
        <f>C47/H24</f>
        <v>2.2011391460587618E-2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L5"/>
  <sheetViews>
    <sheetView tabSelected="1" workbookViewId="0">
      <selection activeCell="I16" sqref="I16"/>
    </sheetView>
  </sheetViews>
  <sheetFormatPr defaultRowHeight="15" x14ac:dyDescent="0.25"/>
  <sheetData>
    <row r="2" spans="2:12" x14ac:dyDescent="0.25">
      <c r="B2" t="s">
        <v>38</v>
      </c>
      <c r="C2" t="s">
        <v>39</v>
      </c>
      <c r="D2" t="s">
        <v>40</v>
      </c>
      <c r="E2" t="s">
        <v>46</v>
      </c>
      <c r="F2" t="s">
        <v>47</v>
      </c>
      <c r="G2" t="s">
        <v>48</v>
      </c>
      <c r="H2" t="s">
        <v>41</v>
      </c>
      <c r="I2" t="s">
        <v>42</v>
      </c>
      <c r="J2" t="s">
        <v>43</v>
      </c>
      <c r="K2" t="s">
        <v>44</v>
      </c>
      <c r="L2" t="s">
        <v>45</v>
      </c>
    </row>
    <row r="3" spans="2:12" x14ac:dyDescent="0.25">
      <c r="B3">
        <v>4.9160000000000002E-3</v>
      </c>
      <c r="C3">
        <v>0.1</v>
      </c>
      <c r="D3">
        <v>0.04</v>
      </c>
      <c r="E3">
        <f>-LN(1-B3)</f>
        <v>4.9281232763373761E-3</v>
      </c>
      <c r="F3">
        <f t="shared" ref="F3:G5" si="0">-LN(1-C3)</f>
        <v>0.10536051565782628</v>
      </c>
      <c r="G3">
        <f t="shared" si="0"/>
        <v>4.0821994520255166E-2</v>
      </c>
      <c r="H3">
        <f>E3/($E3+$F3+$G3)*(1-$K3)</f>
        <v>4.5738448635994798E-3</v>
      </c>
      <c r="I3">
        <f t="shared" ref="I3:J5" si="1">F3/($E3+$F3+$G3)*(1-$K3)</f>
        <v>9.7786241606743138E-2</v>
      </c>
      <c r="J3">
        <f t="shared" si="1"/>
        <v>3.7887337529657381E-2</v>
      </c>
      <c r="K3">
        <f>EXP(-E3-F3-G3)</f>
        <v>0.85975257599999999</v>
      </c>
      <c r="L3">
        <v>1</v>
      </c>
    </row>
    <row r="4" spans="2:12" x14ac:dyDescent="0.25">
      <c r="B4">
        <v>5.5279999999999999E-3</v>
      </c>
      <c r="C4">
        <v>0.08</v>
      </c>
      <c r="D4">
        <v>0.05</v>
      </c>
      <c r="E4">
        <f t="shared" ref="E4:E5" si="2">-LN(1-B4)</f>
        <v>5.5433359361496794E-3</v>
      </c>
      <c r="F4">
        <f t="shared" si="0"/>
        <v>8.3381608939051013E-2</v>
      </c>
      <c r="G4">
        <f t="shared" si="0"/>
        <v>5.1293294387550578E-2</v>
      </c>
      <c r="H4">
        <f t="shared" ref="H4:H5" si="3">E4/($E4+$F4+$G4)*(1-$K4)</f>
        <v>5.1722429559106584E-3</v>
      </c>
      <c r="I4">
        <f t="shared" si="1"/>
        <v>7.7799712024499382E-2</v>
      </c>
      <c r="J4">
        <f t="shared" si="1"/>
        <v>4.7859517019589952E-2</v>
      </c>
      <c r="K4">
        <f t="shared" ref="K4:K5" si="4">EXP(-E4-F4-G4)</f>
        <v>0.869168528</v>
      </c>
      <c r="L4">
        <f>K3</f>
        <v>0.85975257599999999</v>
      </c>
    </row>
    <row r="5" spans="2:12" x14ac:dyDescent="0.25">
      <c r="B5">
        <v>6.215E-3</v>
      </c>
      <c r="C5">
        <v>0.06</v>
      </c>
      <c r="D5">
        <v>0.06</v>
      </c>
      <c r="E5">
        <f t="shared" si="2"/>
        <v>6.2343935080232706E-3</v>
      </c>
      <c r="F5">
        <f t="shared" si="0"/>
        <v>6.1875403718087529E-2</v>
      </c>
      <c r="G5">
        <f t="shared" si="0"/>
        <v>6.1875403718087529E-2</v>
      </c>
      <c r="H5">
        <f t="shared" si="3"/>
        <v>5.8462042763973293E-3</v>
      </c>
      <c r="I5">
        <f t="shared" si="1"/>
        <v>5.8022684861801364E-2</v>
      </c>
      <c r="J5">
        <f t="shared" si="1"/>
        <v>5.8022684861801364E-2</v>
      </c>
      <c r="K5">
        <f t="shared" si="4"/>
        <v>0.87810842599999994</v>
      </c>
      <c r="L5">
        <f>K3*K4</f>
        <v>0.74726988092612812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E79E5D-63EE-4C77-AF94-1A5EB638200C}">
  <dimension ref="C5:R11"/>
  <sheetViews>
    <sheetView workbookViewId="0">
      <selection activeCell="M12" sqref="M12"/>
    </sheetView>
  </sheetViews>
  <sheetFormatPr defaultRowHeight="15" x14ac:dyDescent="0.25"/>
  <cols>
    <col min="12" max="12" width="13.42578125" customWidth="1"/>
    <col min="14" max="14" width="15" customWidth="1"/>
    <col min="15" max="15" width="15.28515625" customWidth="1"/>
  </cols>
  <sheetData>
    <row r="5" spans="3:18" ht="78.75" x14ac:dyDescent="0.25">
      <c r="C5" s="7" t="s">
        <v>10</v>
      </c>
      <c r="D5" s="7" t="s">
        <v>52</v>
      </c>
      <c r="E5" s="7" t="s">
        <v>53</v>
      </c>
      <c r="F5" s="7" t="s">
        <v>24</v>
      </c>
      <c r="G5" s="7" t="s">
        <v>54</v>
      </c>
      <c r="H5" s="7" t="s">
        <v>7</v>
      </c>
      <c r="I5" s="7" t="s">
        <v>21</v>
      </c>
      <c r="J5" s="7" t="s">
        <v>55</v>
      </c>
      <c r="K5" s="7" t="s">
        <v>56</v>
      </c>
      <c r="L5" s="9" t="s">
        <v>59</v>
      </c>
      <c r="M5" s="7" t="s">
        <v>57</v>
      </c>
      <c r="N5" s="7" t="s">
        <v>29</v>
      </c>
      <c r="O5" s="7" t="s">
        <v>60</v>
      </c>
    </row>
    <row r="6" spans="3:18" x14ac:dyDescent="0.25">
      <c r="C6" s="8">
        <v>1</v>
      </c>
      <c r="D6" s="8">
        <v>60</v>
      </c>
      <c r="E6" s="8">
        <v>200</v>
      </c>
      <c r="F6" s="8">
        <v>100</v>
      </c>
      <c r="G6" s="8" t="s">
        <v>58</v>
      </c>
      <c r="H6" s="8">
        <v>4</v>
      </c>
      <c r="I6" s="8">
        <v>10</v>
      </c>
      <c r="J6" s="8">
        <v>130</v>
      </c>
      <c r="K6" s="8">
        <v>-16</v>
      </c>
      <c r="L6" s="10">
        <f>K6+L7/1.04*M7/M6</f>
        <v>-41.418284023668633</v>
      </c>
      <c r="M6" s="8">
        <v>1</v>
      </c>
      <c r="N6" s="10">
        <f>K6*M6</f>
        <v>-16</v>
      </c>
      <c r="O6" s="10">
        <f>L6*M6</f>
        <v>-41.418284023668633</v>
      </c>
      <c r="Q6" s="5">
        <f>N6/1.04^$C6</f>
        <v>-15.384615384615383</v>
      </c>
      <c r="R6" s="5">
        <f>O6/1.04^$C6</f>
        <v>-39.825273099681375</v>
      </c>
    </row>
    <row r="7" spans="3:18" x14ac:dyDescent="0.25">
      <c r="C7" s="8">
        <v>2</v>
      </c>
      <c r="D7" s="8">
        <v>61</v>
      </c>
      <c r="E7" s="8">
        <v>80</v>
      </c>
      <c r="F7" s="8">
        <v>10</v>
      </c>
      <c r="G7" s="8" t="s">
        <v>58</v>
      </c>
      <c r="H7" s="8">
        <v>2.8</v>
      </c>
      <c r="I7" s="8">
        <v>20</v>
      </c>
      <c r="J7" s="8">
        <v>112</v>
      </c>
      <c r="K7" s="8">
        <v>-19.2</v>
      </c>
      <c r="L7" s="10">
        <f>K7+K8/1.04*M8/M7</f>
        <v>-26.783196944899071</v>
      </c>
      <c r="M7" s="8">
        <v>0.98699999999999999</v>
      </c>
      <c r="N7" s="10">
        <f t="shared" ref="N7:N10" si="0">K7*M7</f>
        <v>-18.950399999999998</v>
      </c>
      <c r="O7" s="10">
        <f t="shared" ref="O7:O10" si="1">L7*M7</f>
        <v>-26.435015384615383</v>
      </c>
      <c r="Q7" s="5">
        <f t="shared" ref="Q7:R10" si="2">N7/1.04^$C7</f>
        <v>-17.520710059171595</v>
      </c>
      <c r="R7" s="5">
        <v>0</v>
      </c>
    </row>
    <row r="8" spans="3:18" x14ac:dyDescent="0.25">
      <c r="C8" s="8">
        <v>3</v>
      </c>
      <c r="D8" s="8">
        <v>62</v>
      </c>
      <c r="E8" s="8">
        <v>60</v>
      </c>
      <c r="F8" s="8">
        <v>10</v>
      </c>
      <c r="G8" s="8" t="s">
        <v>58</v>
      </c>
      <c r="H8" s="8">
        <v>2</v>
      </c>
      <c r="I8" s="8">
        <v>30</v>
      </c>
      <c r="J8" s="8">
        <v>90</v>
      </c>
      <c r="K8" s="8">
        <v>-8</v>
      </c>
      <c r="L8" s="10">
        <v>0</v>
      </c>
      <c r="M8" s="8">
        <v>0.97299999999999998</v>
      </c>
      <c r="N8" s="10">
        <f t="shared" si="0"/>
        <v>-7.7839999999999998</v>
      </c>
      <c r="O8" s="10">
        <f t="shared" si="1"/>
        <v>0</v>
      </c>
      <c r="Q8" s="5">
        <f t="shared" si="2"/>
        <v>-6.9199476558944006</v>
      </c>
      <c r="R8" s="5">
        <f t="shared" si="2"/>
        <v>0</v>
      </c>
    </row>
    <row r="9" spans="3:18" x14ac:dyDescent="0.25">
      <c r="C9" s="8">
        <v>4</v>
      </c>
      <c r="D9" s="8">
        <v>63</v>
      </c>
      <c r="E9" s="8">
        <v>60</v>
      </c>
      <c r="F9" s="8">
        <v>10</v>
      </c>
      <c r="G9" s="8" t="s">
        <v>58</v>
      </c>
      <c r="H9" s="8">
        <v>2</v>
      </c>
      <c r="I9" s="8">
        <v>40</v>
      </c>
      <c r="J9" s="8">
        <v>64</v>
      </c>
      <c r="K9" s="8">
        <v>28</v>
      </c>
      <c r="L9" s="10">
        <f>K9</f>
        <v>28</v>
      </c>
      <c r="M9" s="8">
        <v>0.95899999999999996</v>
      </c>
      <c r="N9" s="10">
        <f t="shared" si="0"/>
        <v>26.852</v>
      </c>
      <c r="O9" s="10">
        <f t="shared" si="1"/>
        <v>26.852</v>
      </c>
      <c r="Q9" s="5">
        <f t="shared" si="2"/>
        <v>22.953202137530194</v>
      </c>
      <c r="R9" s="5">
        <f t="shared" si="2"/>
        <v>22.953202137530194</v>
      </c>
    </row>
    <row r="10" spans="3:18" x14ac:dyDescent="0.25">
      <c r="C10" s="8">
        <v>5</v>
      </c>
      <c r="D10" s="8">
        <v>64</v>
      </c>
      <c r="E10" s="8">
        <v>60</v>
      </c>
      <c r="F10" s="8">
        <v>10</v>
      </c>
      <c r="G10" s="8" t="s">
        <v>58</v>
      </c>
      <c r="H10" s="8">
        <v>2</v>
      </c>
      <c r="I10" s="8">
        <v>50</v>
      </c>
      <c r="J10" s="8">
        <v>34</v>
      </c>
      <c r="K10" s="8">
        <v>68</v>
      </c>
      <c r="L10" s="10">
        <f>K10</f>
        <v>68</v>
      </c>
      <c r="M10" s="8">
        <v>0.94299999999999995</v>
      </c>
      <c r="N10" s="10">
        <f t="shared" si="0"/>
        <v>64.123999999999995</v>
      </c>
      <c r="O10" s="10">
        <f t="shared" si="1"/>
        <v>64.123999999999995</v>
      </c>
      <c r="Q10" s="5">
        <f t="shared" si="2"/>
        <v>52.705253793836654</v>
      </c>
      <c r="R10" s="5">
        <f t="shared" si="2"/>
        <v>52.705253793836654</v>
      </c>
    </row>
    <row r="11" spans="3:18" x14ac:dyDescent="0.25">
      <c r="O11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Q14</vt:lpstr>
      <vt:lpstr>Q13</vt:lpstr>
      <vt:lpstr>Sheet3</vt:lpstr>
    </vt:vector>
  </TitlesOfParts>
  <Company>City, University of London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Hargreaves, David</dc:creator>
  <cp:lastModifiedBy>Admin</cp:lastModifiedBy>
  <dcterms:created xsi:type="dcterms:W3CDTF">2019-03-26T08:33:58Z</dcterms:created>
  <dcterms:modified xsi:type="dcterms:W3CDTF">2019-03-28T12:16:19Z</dcterms:modified>
</cp:coreProperties>
</file>